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迅雷下载\"/>
    </mc:Choice>
  </mc:AlternateContent>
  <xr:revisionPtr revIDLastSave="0" documentId="13_ncr:1_{0E84BECB-0F4E-46D2-B200-54848B868E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fe-lo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M17" i="1"/>
  <c r="M15" i="1"/>
  <c r="N17" i="1"/>
  <c r="M24" i="1" s="1"/>
  <c r="N16" i="1"/>
  <c r="M23" i="1" s="1"/>
  <c r="N15" i="1"/>
  <c r="M22" i="1" s="1"/>
  <c r="L57" i="1"/>
  <c r="L56" i="1"/>
  <c r="L55" i="1"/>
  <c r="C32" i="1"/>
  <c r="M35" i="1" s="1"/>
  <c r="C33" i="1"/>
  <c r="M36" i="1" s="1"/>
  <c r="K30" i="1"/>
  <c r="O6" i="1"/>
  <c r="K29" i="1"/>
  <c r="C31" i="1"/>
  <c r="M34" i="1" s="1"/>
  <c r="K28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J30" i="1"/>
  <c r="G30" i="1"/>
  <c r="J29" i="1"/>
  <c r="G29" i="1"/>
  <c r="I28" i="1"/>
  <c r="G28" i="1"/>
  <c r="H30" i="1"/>
  <c r="H29" i="1"/>
  <c r="H28" i="1"/>
  <c r="L54" i="1"/>
  <c r="L53" i="1"/>
  <c r="L52" i="1"/>
  <c r="K27" i="1"/>
  <c r="J27" i="1"/>
  <c r="G27" i="1"/>
  <c r="K26" i="1"/>
  <c r="J26" i="1"/>
  <c r="G26" i="1"/>
  <c r="K25" i="1"/>
  <c r="I25" i="1"/>
  <c r="G25" i="1"/>
  <c r="H27" i="1"/>
  <c r="H26" i="1"/>
  <c r="H25" i="1"/>
  <c r="L27" i="1"/>
  <c r="L26" i="1"/>
  <c r="L25" i="1"/>
  <c r="J25" i="1"/>
  <c r="I26" i="1"/>
  <c r="I27" i="1"/>
  <c r="J28" i="1"/>
  <c r="I30" i="1"/>
  <c r="I29" i="1"/>
  <c r="L51" i="1"/>
  <c r="L33" i="1"/>
  <c r="L30" i="1"/>
  <c r="L24" i="1"/>
  <c r="L21" i="1"/>
  <c r="L50" i="1"/>
  <c r="L32" i="1"/>
  <c r="L29" i="1"/>
  <c r="L23" i="1"/>
  <c r="L20" i="1"/>
  <c r="L49" i="1"/>
  <c r="L31" i="1"/>
  <c r="L28" i="1"/>
  <c r="L22" i="1"/>
  <c r="L19" i="1"/>
  <c r="P21" i="1" l="1"/>
  <c r="E27" i="1" s="1"/>
  <c r="P20" i="1"/>
  <c r="E29" i="1" s="1"/>
  <c r="O19" i="1"/>
  <c r="E28" i="1" s="1"/>
  <c r="N22" i="1"/>
  <c r="N23" i="1"/>
  <c r="N24" i="1"/>
  <c r="E26" i="1" l="1"/>
  <c r="E30" i="1"/>
  <c r="E25" i="1"/>
  <c r="D30" i="1"/>
  <c r="N30" i="1" s="1"/>
  <c r="N33" i="1" s="1"/>
  <c r="N48" i="1" s="1"/>
  <c r="D27" i="1"/>
  <c r="N27" i="1" s="1"/>
  <c r="D29" i="1"/>
  <c r="D26" i="1"/>
  <c r="P23" i="1"/>
  <c r="O22" i="1"/>
  <c r="D25" i="1"/>
  <c r="D28" i="1"/>
  <c r="P24" i="1"/>
  <c r="M27" i="1" l="1"/>
  <c r="M30" i="1"/>
  <c r="M33" i="1" s="1"/>
  <c r="M48" i="1" s="1"/>
  <c r="M51" i="1" s="1"/>
  <c r="F30" i="1"/>
  <c r="P30" i="1" s="1"/>
  <c r="P33" i="1" s="1"/>
  <c r="P48" i="1" s="1"/>
  <c r="F27" i="1"/>
  <c r="P27" i="1" s="1"/>
  <c r="N28" i="1"/>
  <c r="N31" i="1" s="1"/>
  <c r="N46" i="1" s="1"/>
  <c r="M28" i="1"/>
  <c r="M31" i="1" s="1"/>
  <c r="M46" i="1" s="1"/>
  <c r="M25" i="1"/>
  <c r="N25" i="1"/>
  <c r="F25" i="1"/>
  <c r="O25" i="1" s="1"/>
  <c r="F28" i="1"/>
  <c r="O28" i="1" s="1"/>
  <c r="O31" i="1" s="1"/>
  <c r="O46" i="1" s="1"/>
  <c r="F26" i="1"/>
  <c r="P26" i="1" s="1"/>
  <c r="F29" i="1"/>
  <c r="P29" i="1" s="1"/>
  <c r="P32" i="1" s="1"/>
  <c r="P47" i="1" s="1"/>
  <c r="M26" i="1"/>
  <c r="N26" i="1"/>
  <c r="N29" i="1"/>
  <c r="N32" i="1" s="1"/>
  <c r="N47" i="1" s="1"/>
  <c r="M29" i="1"/>
  <c r="M32" i="1" s="1"/>
  <c r="M47" i="1" s="1"/>
  <c r="N54" i="1"/>
  <c r="N57" i="1"/>
  <c r="N51" i="1"/>
  <c r="M57" i="1" l="1"/>
  <c r="M54" i="1"/>
  <c r="O49" i="1"/>
  <c r="O55" i="1"/>
  <c r="O52" i="1"/>
  <c r="P54" i="1"/>
  <c r="P57" i="1"/>
  <c r="P51" i="1"/>
  <c r="N50" i="1"/>
  <c r="N56" i="1"/>
  <c r="N53" i="1"/>
  <c r="M52" i="1"/>
  <c r="M55" i="1"/>
  <c r="M49" i="1"/>
  <c r="P50" i="1"/>
  <c r="P53" i="1"/>
  <c r="P56" i="1"/>
  <c r="M50" i="1"/>
  <c r="M53" i="1"/>
  <c r="M56" i="1"/>
  <c r="N52" i="1"/>
  <c r="N49" i="1"/>
  <c r="N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tc={EACA7E92-1893-4FA3-8E21-54B4B24A3520}</author>
  </authors>
  <commentList>
    <comment ref="B34" authorId="0" shapeId="0" xr:uid="{EACA7E92-1893-4FA3-8E21-54B4B24A3520}">
      <text>
        <t>[线程批注]
你的Excel版本可读取此线程批注; 但如果在更新版本的Excel中打开文件，则对批注所作的任何改动都将被删除。了解详细信息: https://go.microsoft.com/fwlink/?linkid=870924
注释:
    首套住房，若面积在 140 平米（含）以下，契税征收比例为 1%；若面积超过 140 平米，契税征收比例为 1.5%</t>
      </text>
    </comment>
  </commentList>
</comments>
</file>

<file path=xl/sharedStrings.xml><?xml version="1.0" encoding="utf-8"?>
<sst xmlns="http://schemas.openxmlformats.org/spreadsheetml/2006/main" count="44" uniqueCount="43">
  <si>
    <t>佛山</t>
    <phoneticPr fontId="1" type="noConversion"/>
  </si>
  <si>
    <t>面积需求</t>
    <phoneticPr fontId="1" type="noConversion"/>
  </si>
  <si>
    <t>公积金贷款额</t>
    <phoneticPr fontId="1" type="noConversion"/>
  </si>
  <si>
    <t>商业贷款额</t>
    <phoneticPr fontId="1" type="noConversion"/>
  </si>
  <si>
    <t>广州</t>
    <phoneticPr fontId="1" type="noConversion"/>
  </si>
  <si>
    <t>首付</t>
    <phoneticPr fontId="1" type="noConversion"/>
  </si>
  <si>
    <t>首付比例</t>
    <phoneticPr fontId="1" type="noConversion"/>
  </si>
  <si>
    <t>公积金贷款（异地买房）年利率</t>
    <phoneticPr fontId="1" type="noConversion"/>
  </si>
  <si>
    <t>公积金贷款（本地买房）年利率</t>
    <phoneticPr fontId="1" type="noConversion"/>
  </si>
  <si>
    <t>公积金贷款（本地买房）额度</t>
    <phoneticPr fontId="1" type="noConversion"/>
  </si>
  <si>
    <t>公积金贷款（异地买房）额度</t>
    <phoneticPr fontId="1" type="noConversion"/>
  </si>
  <si>
    <t>贷款参数</t>
    <phoneticPr fontId="1" type="noConversion"/>
  </si>
  <si>
    <t>城市</t>
    <phoneticPr fontId="1" type="noConversion"/>
  </si>
  <si>
    <t>建筑面积(m²)</t>
    <phoneticPr fontId="1" type="noConversion"/>
  </si>
  <si>
    <t>公摊面积(m²)</t>
    <phoneticPr fontId="1" type="noConversion"/>
  </si>
  <si>
    <t>实际面积(m²)</t>
    <phoneticPr fontId="1" type="noConversion"/>
  </si>
  <si>
    <t>还款年数(年)</t>
    <phoneticPr fontId="1" type="noConversion"/>
  </si>
  <si>
    <t>50年建筑设计使用年限，平均每月金额</t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</si>
  <si>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实际房价</t>
    </r>
    <r>
      <rPr>
        <b/>
        <sz val="11"/>
        <color theme="1"/>
        <rFont val="等线"/>
        <family val="3"/>
        <charset val="134"/>
        <scheme val="minor"/>
      </rPr>
      <t xml:space="preserve">
</t>
    </r>
    <r>
      <rPr>
        <sz val="11"/>
        <color theme="1"/>
        <rFont val="等线"/>
        <family val="3"/>
        <charset val="134"/>
        <scheme val="minor"/>
      </rPr>
      <t>(按实际面积计算，平均每m²的金额)</t>
    </r>
    <phoneticPr fontId="1" type="noConversion"/>
  </si>
  <si>
    <t>房价(m²)</t>
    <phoneticPr fontId="1" type="noConversion"/>
  </si>
  <si>
    <t>茂名</t>
    <phoneticPr fontId="1" type="noConversion"/>
  </si>
  <si>
    <t>30年宜居年限，平均每月金额</t>
    <phoneticPr fontId="1" type="noConversion"/>
  </si>
  <si>
    <t>公积金所在城市 及 房价</t>
    <phoneticPr fontId="1" type="noConversion"/>
  </si>
  <si>
    <t>其他意向城市 及 房价</t>
    <phoneticPr fontId="1" type="noConversion"/>
  </si>
  <si>
    <t>商业贷款1</t>
    <phoneticPr fontId="1" type="noConversion"/>
  </si>
  <si>
    <t>商业贷款2</t>
    <phoneticPr fontId="1" type="noConversion"/>
  </si>
  <si>
    <t>公积金贷款+商业贷款1（本地买房）</t>
    <phoneticPr fontId="1" type="noConversion"/>
  </si>
  <si>
    <t>公积金贷款+商业贷款1（异地买房）</t>
    <phoneticPr fontId="1" type="noConversion"/>
  </si>
  <si>
    <r>
      <t>注：1）本表格制作时间：</t>
    </r>
    <r>
      <rPr>
        <b/>
        <sz val="11"/>
        <color theme="1"/>
        <rFont val="等线"/>
        <family val="3"/>
        <charset val="134"/>
        <scheme val="minor"/>
      </rPr>
      <t>2026-01-15</t>
    </r>
    <r>
      <rPr>
        <sz val="11"/>
        <color theme="1"/>
        <rFont val="等线"/>
        <family val="3"/>
        <charset val="134"/>
        <scheme val="minor"/>
      </rPr>
      <t>，</t>
    </r>
    <r>
      <rPr>
        <b/>
        <sz val="11"/>
        <color rgb="FFFF0000"/>
        <rFont val="等线"/>
        <family val="3"/>
        <charset val="134"/>
        <scheme val="minor"/>
      </rPr>
      <t>具有时效性</t>
    </r>
    <r>
      <rPr>
        <sz val="11"/>
        <color theme="1"/>
        <rFont val="等线"/>
        <family val="3"/>
        <charset val="134"/>
        <scheme val="minor"/>
      </rPr>
      <t>，请自行判别
2）本表格不考虑通货膨胀等其他因素
3）本表格只有</t>
    </r>
    <r>
      <rPr>
        <b/>
        <sz val="11"/>
        <color rgb="FFFF0000"/>
        <rFont val="等线"/>
        <family val="3"/>
        <charset val="134"/>
        <scheme val="minor"/>
      </rPr>
      <t>等额本息</t>
    </r>
    <r>
      <rPr>
        <sz val="11"/>
        <color theme="1"/>
        <rFont val="等线"/>
        <family val="3"/>
        <charset val="134"/>
        <scheme val="minor"/>
      </rPr>
      <t>的计算公式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</si>
  <si>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一共支付的利息金额</t>
    </r>
    <r>
      <rPr>
        <sz val="11"/>
        <color theme="1"/>
        <rFont val="等线"/>
        <family val="3"/>
        <charset val="134"/>
        <scheme val="minor"/>
      </rPr>
      <t xml:space="preserve">
（等额本息）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</si>
  <si>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月供金额</t>
    </r>
    <r>
      <rPr>
        <sz val="11"/>
        <color theme="1"/>
        <rFont val="等线"/>
        <family val="3"/>
        <charset val="134"/>
        <scheme val="minor"/>
      </rPr>
      <t xml:space="preserve">
（等额本息</t>
    </r>
    <r>
      <rPr>
        <sz val="11"/>
        <color theme="1"/>
        <rFont val="等线"/>
        <family val="2"/>
        <scheme val="minor"/>
      </rPr>
      <t>）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</si>
  <si>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实际支出</t>
    </r>
    <r>
      <rPr>
        <b/>
        <sz val="11"/>
        <color theme="1"/>
        <rFont val="等线"/>
        <family val="3"/>
        <charset val="134"/>
        <scheme val="minor"/>
      </rPr>
      <t xml:space="preserve">
</t>
    </r>
    <r>
      <rPr>
        <sz val="11"/>
        <color theme="1"/>
        <rFont val="等线"/>
        <family val="3"/>
        <charset val="134"/>
        <scheme val="minor"/>
      </rPr>
      <t>(不含其他支出)</t>
    </r>
    <phoneticPr fontId="1" type="noConversion"/>
  </si>
  <si>
    <t>其他支出-契税</t>
    <phoneticPr fontId="1" type="noConversion"/>
  </si>
  <si>
    <t>商业贷款1 年利率</t>
    <phoneticPr fontId="1" type="noConversion"/>
  </si>
  <si>
    <t>商业贷款2(对照组) 年利率</t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</si>
  <si>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实际支出</t>
    </r>
    <r>
      <rPr>
        <b/>
        <sz val="11"/>
        <color theme="1"/>
        <rFont val="等线"/>
        <family val="3"/>
        <charset val="134"/>
        <scheme val="minor"/>
      </rPr>
      <t xml:space="preserve">
</t>
    </r>
    <r>
      <rPr>
        <sz val="11"/>
        <color theme="1"/>
        <rFont val="等线"/>
        <family val="3"/>
        <charset val="134"/>
        <scheme val="minor"/>
      </rPr>
      <t>(含其他支出)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</si>
  <si>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其他支出1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(手动填写)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</si>
  <si>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其他支出2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(手动填写)</t>
    </r>
    <phoneticPr fontId="1" type="noConversion"/>
  </si>
  <si>
    <r>
      <rPr>
        <b/>
        <sz val="12"/>
        <color theme="1"/>
        <rFont val="等线"/>
        <family val="3"/>
        <charset val="134"/>
        <scheme val="minor"/>
      </rPr>
      <t>其他支出3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(手动填写)</t>
    </r>
    <phoneticPr fontId="1" type="noConversion"/>
  </si>
  <si>
    <t xml:space="preserve">                             贷款组合
统计结果</t>
    <phoneticPr fontId="1" type="noConversion"/>
  </si>
  <si>
    <t xml:space="preserve">               
              买房参数
   计算结果</t>
    <phoneticPr fontId="1" type="noConversion"/>
  </si>
  <si>
    <r>
      <t xml:space="preserve">贷款买房(首套&amp;一手)真实价格计算器
</t>
    </r>
    <r>
      <rPr>
        <b/>
        <sz val="12"/>
        <color rgb="FFFF0000"/>
        <rFont val="等线"/>
        <family val="3"/>
        <charset val="134"/>
        <scheme val="minor"/>
      </rPr>
      <t>●单位：元●还款方式：等额本息●制作：ZJHCOFI●开源地址：https://github.com/ZJHCOFI/life-lock</t>
    </r>
    <phoneticPr fontId="1" type="noConversion"/>
  </si>
  <si>
    <r>
      <t>注：填写</t>
    </r>
    <r>
      <rPr>
        <b/>
        <sz val="18"/>
        <color rgb="FF0070C0"/>
        <rFont val="等线"/>
        <family val="3"/>
        <charset val="134"/>
        <scheme val="minor"/>
      </rPr>
      <t>蓝底</t>
    </r>
    <r>
      <rPr>
        <sz val="18"/>
        <color theme="1"/>
        <rFont val="等线"/>
        <family val="3"/>
        <charset val="134"/>
        <scheme val="minor"/>
      </rPr>
      <t>的单元格即可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</si>
</sst>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);[Red]\(0.00\)"/>
    <numFmt numFmtId="178" formatCode="&quot;¥&quot;#,##0.00_);[Red]\(&quot;¥&quot;#,##0.00\)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8"/>
      <color rgb="FF0070C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76" fontId="0" fillId="0" borderId="1" xfId="0" applyNumberFormat="1" applyBorder="1" applyAlignment="1">
      <alignment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0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0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/>
    <xf numFmtId="0" fontId="7" fillId="8" borderId="3" xfId="0" applyFont="1" applyFill="1" applyBorder="1" applyAlignment="1">
      <alignment horizontal="center" vertical="center"/>
    </xf>
    <xf numFmtId="0" fontId="7" fillId="9" borderId="1" xfId="0" applyFont="1" applyFill="1" applyBorder="1"/>
    <xf numFmtId="0" fontId="7" fillId="9" borderId="1" xfId="0" applyFont="1" applyFill="1" applyBorder="1" applyAlignment="1">
      <alignment horizontal="center" vertical="center"/>
    </xf>
    <xf numFmtId="0" fontId="7" fillId="9" borderId="15" xfId="0" applyFont="1" applyFill="1" applyBorder="1"/>
    <xf numFmtId="0" fontId="7" fillId="9" borderId="15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8" fontId="6" fillId="2" borderId="4" xfId="0" applyNumberFormat="1" applyFont="1" applyFill="1" applyBorder="1" applyAlignment="1">
      <alignment horizontal="center" vertical="center"/>
    </xf>
    <xf numFmtId="178" fontId="0" fillId="10" borderId="2" xfId="0" applyNumberFormat="1" applyFill="1" applyBorder="1" applyAlignment="1">
      <alignment horizontal="center" vertical="center"/>
    </xf>
    <xf numFmtId="178" fontId="0" fillId="10" borderId="11" xfId="0" applyNumberFormat="1" applyFill="1" applyBorder="1" applyAlignment="1">
      <alignment horizontal="center" vertical="center"/>
    </xf>
    <xf numFmtId="178" fontId="0" fillId="11" borderId="1" xfId="0" applyNumberFormat="1" applyFill="1" applyBorder="1" applyAlignment="1">
      <alignment horizontal="center" vertical="center"/>
    </xf>
    <xf numFmtId="178" fontId="0" fillId="11" borderId="19" xfId="0" applyNumberFormat="1" applyFill="1" applyBorder="1" applyAlignment="1">
      <alignment horizontal="center" vertical="center"/>
    </xf>
    <xf numFmtId="178" fontId="0" fillId="11" borderId="2" xfId="0" applyNumberFormat="1" applyFill="1" applyBorder="1" applyAlignment="1">
      <alignment horizontal="center" vertical="center"/>
    </xf>
    <xf numFmtId="178" fontId="0" fillId="11" borderId="1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1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4" borderId="19" xfId="0" applyNumberFormat="1" applyFill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0" fillId="4" borderId="1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19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178" fontId="2" fillId="6" borderId="2" xfId="0" applyNumberFormat="1" applyFont="1" applyFill="1" applyBorder="1" applyAlignment="1">
      <alignment horizontal="center" vertical="center"/>
    </xf>
    <xf numFmtId="178" fontId="2" fillId="6" borderId="11" xfId="0" applyNumberFormat="1" applyFont="1" applyFill="1" applyBorder="1" applyAlignment="1">
      <alignment horizontal="center" vertical="center"/>
    </xf>
    <xf numFmtId="178" fontId="2" fillId="7" borderId="1" xfId="0" applyNumberFormat="1" applyFont="1" applyFill="1" applyBorder="1" applyAlignment="1">
      <alignment horizontal="center" vertical="center"/>
    </xf>
    <xf numFmtId="178" fontId="2" fillId="7" borderId="19" xfId="0" applyNumberFormat="1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178" fontId="2" fillId="7" borderId="11" xfId="0" applyNumberFormat="1" applyFont="1" applyFill="1" applyBorder="1" applyAlignment="1">
      <alignment horizontal="center" vertical="center"/>
    </xf>
    <xf numFmtId="178" fontId="7" fillId="8" borderId="1" xfId="0" applyNumberFormat="1" applyFont="1" applyFill="1" applyBorder="1" applyAlignment="1">
      <alignment horizontal="center" vertical="center"/>
    </xf>
    <xf numFmtId="178" fontId="7" fillId="8" borderId="19" xfId="0" applyNumberFormat="1" applyFont="1" applyFill="1" applyBorder="1" applyAlignment="1">
      <alignment horizontal="center" vertical="center"/>
    </xf>
    <xf numFmtId="178" fontId="7" fillId="8" borderId="2" xfId="0" applyNumberFormat="1" applyFont="1" applyFill="1" applyBorder="1" applyAlignment="1">
      <alignment horizontal="center" vertical="center"/>
    </xf>
    <xf numFmtId="178" fontId="7" fillId="8" borderId="11" xfId="0" applyNumberFormat="1" applyFont="1" applyFill="1" applyBorder="1" applyAlignment="1">
      <alignment horizontal="center" vertical="center"/>
    </xf>
    <xf numFmtId="178" fontId="7" fillId="8" borderId="3" xfId="0" applyNumberFormat="1" applyFont="1" applyFill="1" applyBorder="1" applyAlignment="1">
      <alignment horizontal="center" vertical="center"/>
    </xf>
    <xf numFmtId="178" fontId="7" fillId="8" borderId="24" xfId="0" applyNumberFormat="1" applyFont="1" applyFill="1" applyBorder="1" applyAlignment="1">
      <alignment horizontal="center" vertical="center"/>
    </xf>
    <xf numFmtId="178" fontId="7" fillId="8" borderId="25" xfId="0" applyNumberFormat="1" applyFont="1" applyFill="1" applyBorder="1" applyAlignment="1">
      <alignment horizontal="center" vertical="center"/>
    </xf>
    <xf numFmtId="178" fontId="7" fillId="9" borderId="1" xfId="0" applyNumberFormat="1" applyFont="1" applyFill="1" applyBorder="1" applyAlignment="1">
      <alignment horizontal="center" vertical="center"/>
    </xf>
    <xf numFmtId="178" fontId="7" fillId="9" borderId="19" xfId="0" applyNumberFormat="1" applyFont="1" applyFill="1" applyBorder="1" applyAlignment="1">
      <alignment horizontal="center" vertical="center"/>
    </xf>
    <xf numFmtId="178" fontId="7" fillId="9" borderId="2" xfId="0" applyNumberFormat="1" applyFont="1" applyFill="1" applyBorder="1" applyAlignment="1">
      <alignment horizontal="center" vertical="center"/>
    </xf>
    <xf numFmtId="178" fontId="7" fillId="9" borderId="11" xfId="0" applyNumberFormat="1" applyFont="1" applyFill="1" applyBorder="1" applyAlignment="1">
      <alignment horizontal="center" vertical="center"/>
    </xf>
    <xf numFmtId="178" fontId="7" fillId="9" borderId="15" xfId="0" applyNumberFormat="1" applyFont="1" applyFill="1" applyBorder="1" applyAlignment="1">
      <alignment horizontal="center" vertical="center"/>
    </xf>
    <xf numFmtId="178" fontId="7" fillId="9" borderId="13" xfId="0" applyNumberFormat="1" applyFont="1" applyFill="1" applyBorder="1" applyAlignment="1">
      <alignment horizontal="center" vertical="center"/>
    </xf>
    <xf numFmtId="178" fontId="7" fillId="9" borderId="14" xfId="0" applyNumberFormat="1" applyFont="1" applyFill="1" applyBorder="1" applyAlignment="1">
      <alignment horizontal="center" vertical="center"/>
    </xf>
    <xf numFmtId="178" fontId="0" fillId="10" borderId="7" xfId="0" applyNumberFormat="1" applyFill="1" applyBorder="1" applyAlignment="1">
      <alignment horizontal="center" vertical="center"/>
    </xf>
    <xf numFmtId="178" fontId="0" fillId="10" borderId="8" xfId="0" applyNumberFormat="1" applyFill="1" applyBorder="1" applyAlignment="1">
      <alignment horizontal="center" vertical="center"/>
    </xf>
    <xf numFmtId="178" fontId="0" fillId="10" borderId="9" xfId="0" applyNumberFormat="1" applyFill="1" applyBorder="1" applyAlignment="1">
      <alignment horizontal="center" vertical="center"/>
    </xf>
    <xf numFmtId="178" fontId="0" fillId="11" borderId="15" xfId="0" applyNumberFormat="1" applyFill="1" applyBorder="1" applyAlignment="1">
      <alignment horizontal="center" vertical="center"/>
    </xf>
    <xf numFmtId="178" fontId="0" fillId="11" borderId="13" xfId="0" applyNumberFormat="1" applyFill="1" applyBorder="1" applyAlignment="1">
      <alignment horizontal="center" vertical="center"/>
    </xf>
    <xf numFmtId="178" fontId="0" fillId="11" borderId="14" xfId="0" applyNumberFormat="1" applyFill="1" applyBorder="1" applyAlignment="1">
      <alignment horizontal="center" vertical="center"/>
    </xf>
    <xf numFmtId="178" fontId="0" fillId="3" borderId="8" xfId="0" applyNumberFormat="1" applyFill="1" applyBorder="1" applyAlignment="1">
      <alignment horizontal="center" vertical="center"/>
    </xf>
    <xf numFmtId="178" fontId="0" fillId="3" borderId="9" xfId="0" applyNumberFormat="1" applyFill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0" fontId="2" fillId="6" borderId="8" xfId="0" applyNumberFormat="1" applyFont="1" applyFill="1" applyBorder="1" applyAlignment="1">
      <alignment horizontal="center" vertical="center" wrapText="1"/>
    </xf>
    <xf numFmtId="178" fontId="2" fillId="6" borderId="8" xfId="0" applyNumberFormat="1" applyFont="1" applyFill="1" applyBorder="1" applyAlignment="1">
      <alignment horizontal="center" vertical="center"/>
    </xf>
    <xf numFmtId="178" fontId="2" fillId="6" borderId="9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0" fontId="0" fillId="5" borderId="15" xfId="0" applyNumberFormat="1" applyFill="1" applyBorder="1" applyAlignment="1">
      <alignment horizontal="center" vertical="center" wrapText="1"/>
    </xf>
    <xf numFmtId="178" fontId="0" fillId="5" borderId="15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1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8" fillId="0" borderId="33" xfId="0" applyFont="1" applyBorder="1" applyAlignment="1">
      <alignment horizontal="left" vertical="top" wrapText="1"/>
    </xf>
    <xf numFmtId="10" fontId="0" fillId="2" borderId="11" xfId="0" applyNumberFormat="1" applyFill="1" applyBorder="1" applyAlignment="1">
      <alignment horizontal="center" vertical="center" wrapText="1"/>
    </xf>
    <xf numFmtId="178" fontId="0" fillId="2" borderId="32" xfId="0" applyNumberFormat="1" applyFill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0" fillId="2" borderId="1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14" fillId="0" borderId="11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178" fontId="0" fillId="2" borderId="21" xfId="0" applyNumberFormat="1" applyFill="1" applyBorder="1" applyAlignment="1">
      <alignment horizontal="center" vertical="center"/>
    </xf>
    <xf numFmtId="178" fontId="0" fillId="2" borderId="23" xfId="0" applyNumberFormat="1" applyFill="1" applyBorder="1" applyAlignment="1">
      <alignment horizontal="center" vertical="center"/>
    </xf>
    <xf numFmtId="178" fontId="0" fillId="2" borderId="29" xfId="0" applyNumberFormat="1" applyFill="1" applyBorder="1" applyAlignment="1">
      <alignment horizontal="center" vertical="center"/>
    </xf>
    <xf numFmtId="178" fontId="0" fillId="2" borderId="30" xfId="0" applyNumberFormat="1" applyFill="1" applyBorder="1" applyAlignment="1">
      <alignment horizontal="center" vertical="center"/>
    </xf>
    <xf numFmtId="178" fontId="0" fillId="2" borderId="3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2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0" fillId="2" borderId="11" xfId="0" applyNumberForma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9" fontId="4" fillId="2" borderId="21" xfId="0" applyNumberFormat="1" applyFont="1" applyFill="1" applyBorder="1" applyAlignment="1">
      <alignment horizontal="center" vertical="center" wrapText="1"/>
    </xf>
    <xf numFmtId="9" fontId="4" fillId="2" borderId="23" xfId="0" applyNumberFormat="1" applyFont="1" applyFill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9" fillId="8" borderId="2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CCC"/>
      <color rgb="FFFF33CC"/>
      <color rgb="FFFF66FF"/>
      <color rgb="FFFF99FF"/>
      <color rgb="FFFF6699"/>
      <color rgb="FFFF3399"/>
      <color rgb="FFFFCCFF"/>
      <color rgb="FFFF99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istrator" id="{F1FF34E4-A910-42A3-B1F0-2AC838CF81E1}" userId="Administrato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4" dT="2026-01-15T04:51:43.20" personId="{F1FF34E4-A910-42A3-B1F0-2AC838CF81E1}" id="{EACA7E92-1893-4FA3-8E21-54B4B24A3520}">
    <text>首套住房，若面积在 140 平米（含）以下，契税征收比例为 1%；若面积超过 140 平米，契税征收比例为 1.5%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7"/>
  <sheetViews>
    <sheetView showGridLines="0" tabSelected="1" zoomScale="90" zoomScaleNormal="90" workbookViewId="0">
      <selection activeCell="O5" sqref="O5:P5"/>
    </sheetView>
  </sheetViews>
  <sheetFormatPr defaultRowHeight="13.8" x14ac:dyDescent="0.25"/>
  <cols>
    <col min="1" max="1" width="3.109375" customWidth="1"/>
    <col min="2" max="2" width="33.33203125" bestFit="1" customWidth="1"/>
    <col min="3" max="3" width="18.6640625" hidden="1" customWidth="1"/>
    <col min="4" max="11" width="13.44140625" hidden="1" customWidth="1"/>
    <col min="12" max="12" width="10.44140625" bestFit="1" customWidth="1"/>
    <col min="13" max="13" width="31.44140625" bestFit="1" customWidth="1"/>
    <col min="14" max="14" width="16.5546875" customWidth="1"/>
    <col min="15" max="16" width="40.33203125" bestFit="1" customWidth="1"/>
    <col min="17" max="17" width="3.77734375" customWidth="1"/>
  </cols>
  <sheetData>
    <row r="1" spans="2:23" ht="14.4" thickBot="1" x14ac:dyDescent="0.3"/>
    <row r="2" spans="2:23" ht="42" customHeight="1" x14ac:dyDescent="0.25">
      <c r="B2" s="116" t="s">
        <v>41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2:23" ht="45" customHeight="1" x14ac:dyDescent="0.25">
      <c r="B3" s="133" t="s">
        <v>28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5"/>
      <c r="N3" s="145" t="s">
        <v>42</v>
      </c>
      <c r="O3" s="145"/>
      <c r="P3" s="146"/>
    </row>
    <row r="4" spans="2:23" ht="15.75" customHeight="1" x14ac:dyDescent="0.25">
      <c r="B4" s="174" t="s">
        <v>40</v>
      </c>
      <c r="C4" s="6"/>
      <c r="D4" s="6"/>
      <c r="E4" s="6"/>
      <c r="F4" s="6"/>
      <c r="G4" s="6"/>
      <c r="H4" s="6"/>
      <c r="I4" s="6"/>
      <c r="J4" s="6"/>
      <c r="K4" s="6"/>
      <c r="L4" s="130" t="s">
        <v>1</v>
      </c>
      <c r="M4" s="130"/>
      <c r="N4" s="4" t="s">
        <v>13</v>
      </c>
      <c r="O4" s="128">
        <v>110</v>
      </c>
      <c r="P4" s="129"/>
      <c r="Q4" s="3"/>
      <c r="R4" s="3"/>
      <c r="S4" s="3"/>
      <c r="T4" s="3"/>
      <c r="U4" s="3"/>
      <c r="V4" s="1"/>
      <c r="W4" s="1"/>
    </row>
    <row r="5" spans="2:23" ht="15.6" x14ac:dyDescent="0.25">
      <c r="B5" s="175"/>
      <c r="C5" s="6"/>
      <c r="D5" s="6"/>
      <c r="E5" s="6"/>
      <c r="F5" s="6"/>
      <c r="G5" s="6"/>
      <c r="H5" s="6"/>
      <c r="I5" s="6"/>
      <c r="J5" s="6"/>
      <c r="K5" s="6"/>
      <c r="L5" s="130"/>
      <c r="M5" s="130"/>
      <c r="N5" s="4" t="s">
        <v>14</v>
      </c>
      <c r="O5" s="128">
        <v>20</v>
      </c>
      <c r="P5" s="129"/>
      <c r="Q5" s="3"/>
      <c r="R5" s="3"/>
      <c r="S5" s="3"/>
      <c r="T5" s="3"/>
      <c r="U5" s="3"/>
      <c r="V5" s="1"/>
      <c r="W5" s="1"/>
    </row>
    <row r="6" spans="2:23" ht="17.399999999999999" x14ac:dyDescent="0.25">
      <c r="B6" s="175"/>
      <c r="C6" s="6"/>
      <c r="D6" s="6"/>
      <c r="E6" s="6"/>
      <c r="F6" s="6"/>
      <c r="G6" s="6"/>
      <c r="H6" s="6"/>
      <c r="I6" s="6"/>
      <c r="J6" s="6"/>
      <c r="K6" s="6"/>
      <c r="L6" s="130"/>
      <c r="M6" s="130"/>
      <c r="N6" s="4" t="s">
        <v>15</v>
      </c>
      <c r="O6" s="131">
        <f>O4-O5</f>
        <v>90</v>
      </c>
      <c r="P6" s="132"/>
      <c r="Q6" s="3"/>
      <c r="R6" s="3"/>
      <c r="S6" s="3"/>
      <c r="T6" s="3"/>
      <c r="U6" s="3"/>
      <c r="V6" s="1"/>
      <c r="W6" s="1"/>
    </row>
    <row r="7" spans="2:23" ht="15.6" customHeight="1" x14ac:dyDescent="0.25">
      <c r="B7" s="175"/>
      <c r="C7" s="6"/>
      <c r="D7" s="6"/>
      <c r="E7" s="6"/>
      <c r="F7" s="6"/>
      <c r="G7" s="6"/>
      <c r="H7" s="6"/>
      <c r="I7" s="6"/>
      <c r="J7" s="6"/>
      <c r="K7" s="6"/>
      <c r="L7" s="130" t="s">
        <v>16</v>
      </c>
      <c r="M7" s="130"/>
      <c r="N7" s="130"/>
      <c r="O7" s="155">
        <v>30</v>
      </c>
      <c r="P7" s="156"/>
      <c r="Q7" s="3"/>
      <c r="R7" s="3"/>
      <c r="S7" s="3"/>
      <c r="T7" s="3"/>
      <c r="U7" s="3"/>
      <c r="V7" s="1"/>
      <c r="W7" s="1"/>
    </row>
    <row r="8" spans="2:23" ht="15.75" customHeight="1" x14ac:dyDescent="0.25">
      <c r="B8" s="175"/>
      <c r="C8" s="6"/>
      <c r="D8" s="6"/>
      <c r="E8" s="6"/>
      <c r="F8" s="6"/>
      <c r="G8" s="6"/>
      <c r="H8" s="6"/>
      <c r="I8" s="6"/>
      <c r="J8" s="6"/>
      <c r="K8" s="6"/>
      <c r="L8" s="130" t="s">
        <v>19</v>
      </c>
      <c r="M8" s="13" t="s">
        <v>22</v>
      </c>
      <c r="N8" s="8" t="s">
        <v>4</v>
      </c>
      <c r="O8" s="157">
        <v>22000</v>
      </c>
      <c r="P8" s="158"/>
      <c r="Q8" s="2"/>
      <c r="R8" s="3"/>
      <c r="S8" s="3"/>
      <c r="T8" s="3"/>
      <c r="U8" s="3"/>
      <c r="V8" s="1"/>
      <c r="W8" s="1"/>
    </row>
    <row r="9" spans="2:23" ht="15.75" customHeight="1" x14ac:dyDescent="0.25">
      <c r="B9" s="175"/>
      <c r="C9" s="6"/>
      <c r="D9" s="6"/>
      <c r="E9" s="6"/>
      <c r="F9" s="6"/>
      <c r="G9" s="6"/>
      <c r="H9" s="6"/>
      <c r="I9" s="6"/>
      <c r="J9" s="6"/>
      <c r="K9" s="6"/>
      <c r="L9" s="130"/>
      <c r="M9" s="13" t="s">
        <v>23</v>
      </c>
      <c r="N9" s="8" t="s">
        <v>0</v>
      </c>
      <c r="O9" s="157">
        <v>11500</v>
      </c>
      <c r="P9" s="158"/>
      <c r="Q9" s="2"/>
      <c r="R9" s="3"/>
      <c r="S9" s="3"/>
      <c r="T9" s="3"/>
      <c r="U9" s="3"/>
      <c r="V9" s="1"/>
      <c r="W9" s="1"/>
    </row>
    <row r="10" spans="2:23" ht="15.75" customHeight="1" x14ac:dyDescent="0.25">
      <c r="B10" s="175"/>
      <c r="C10" s="6"/>
      <c r="D10" s="6"/>
      <c r="E10" s="6"/>
      <c r="F10" s="6"/>
      <c r="G10" s="6"/>
      <c r="H10" s="6"/>
      <c r="I10" s="6"/>
      <c r="J10" s="6"/>
      <c r="K10" s="6"/>
      <c r="L10" s="130"/>
      <c r="M10" s="13" t="s">
        <v>23</v>
      </c>
      <c r="N10" s="8" t="s">
        <v>20</v>
      </c>
      <c r="O10" s="157">
        <v>7500</v>
      </c>
      <c r="P10" s="158"/>
      <c r="Q10" s="2"/>
      <c r="R10" s="3"/>
      <c r="S10" s="3"/>
      <c r="T10" s="3"/>
      <c r="U10" s="3"/>
      <c r="V10" s="1"/>
      <c r="W10" s="1"/>
    </row>
    <row r="11" spans="2:23" ht="15.75" customHeight="1" x14ac:dyDescent="0.25">
      <c r="B11" s="175"/>
      <c r="C11" s="6"/>
      <c r="D11" s="6"/>
      <c r="E11" s="6"/>
      <c r="F11" s="6"/>
      <c r="G11" s="6"/>
      <c r="H11" s="6"/>
      <c r="I11" s="6"/>
      <c r="J11" s="6"/>
      <c r="K11" s="6"/>
      <c r="L11" s="130" t="s">
        <v>11</v>
      </c>
      <c r="M11" s="13" t="s">
        <v>33</v>
      </c>
      <c r="N11" s="15">
        <v>3.5000000000000003E-2</v>
      </c>
      <c r="O11" s="13" t="s">
        <v>34</v>
      </c>
      <c r="P11" s="110">
        <v>0.03</v>
      </c>
      <c r="Q11" s="2"/>
      <c r="R11" s="3"/>
      <c r="S11" s="3"/>
      <c r="T11" s="3"/>
      <c r="U11" s="3"/>
      <c r="V11" s="1"/>
      <c r="W11" s="1"/>
    </row>
    <row r="12" spans="2:23" ht="15.75" customHeight="1" x14ac:dyDescent="0.25">
      <c r="B12" s="175"/>
      <c r="C12" s="6"/>
      <c r="D12" s="6"/>
      <c r="E12" s="6"/>
      <c r="F12" s="6"/>
      <c r="G12" s="6"/>
      <c r="H12" s="6"/>
      <c r="I12" s="6"/>
      <c r="J12" s="6"/>
      <c r="K12" s="6"/>
      <c r="L12" s="130"/>
      <c r="M12" s="13" t="s">
        <v>8</v>
      </c>
      <c r="N12" s="15">
        <v>2.5999999999999999E-2</v>
      </c>
      <c r="O12" s="14" t="s">
        <v>7</v>
      </c>
      <c r="P12" s="110">
        <v>2.5999999999999999E-2</v>
      </c>
      <c r="Q12" s="2"/>
      <c r="R12" s="3"/>
      <c r="S12" s="3"/>
      <c r="T12" s="3"/>
      <c r="U12" s="3"/>
      <c r="V12" s="1"/>
      <c r="W12" s="1"/>
    </row>
    <row r="13" spans="2:23" ht="15.75" customHeight="1" x14ac:dyDescent="0.25">
      <c r="B13" s="175"/>
      <c r="C13" s="6"/>
      <c r="D13" s="6"/>
      <c r="E13" s="6"/>
      <c r="F13" s="6"/>
      <c r="G13" s="6"/>
      <c r="H13" s="6"/>
      <c r="I13" s="6"/>
      <c r="J13" s="6"/>
      <c r="K13" s="6"/>
      <c r="L13" s="130"/>
      <c r="M13" s="13" t="s">
        <v>9</v>
      </c>
      <c r="N13" s="49">
        <v>600000</v>
      </c>
      <c r="O13" s="14" t="s">
        <v>10</v>
      </c>
      <c r="P13" s="111">
        <v>600000</v>
      </c>
      <c r="Q13" s="2"/>
      <c r="R13" s="3"/>
      <c r="S13" s="3"/>
      <c r="T13" s="3"/>
      <c r="U13" s="3"/>
      <c r="V13" s="1"/>
      <c r="W13" s="1"/>
    </row>
    <row r="14" spans="2:23" ht="15.6" x14ac:dyDescent="0.25">
      <c r="B14" s="175"/>
      <c r="C14" s="6"/>
      <c r="D14" s="6"/>
      <c r="E14" s="6"/>
      <c r="F14" s="6"/>
      <c r="G14" s="6"/>
      <c r="H14" s="6"/>
      <c r="I14" s="6"/>
      <c r="J14" s="6"/>
      <c r="K14" s="6"/>
      <c r="L14" s="171" t="s">
        <v>5</v>
      </c>
      <c r="M14" s="12" t="s">
        <v>6</v>
      </c>
      <c r="N14" s="162">
        <v>0.2</v>
      </c>
      <c r="O14" s="163"/>
      <c r="P14" s="164"/>
      <c r="Q14" s="3"/>
      <c r="R14" s="3"/>
      <c r="S14" s="3"/>
      <c r="T14" s="3"/>
      <c r="U14" s="3"/>
      <c r="V14" s="1"/>
      <c r="W14" s="1"/>
    </row>
    <row r="15" spans="2:23" x14ac:dyDescent="0.25">
      <c r="B15" s="175"/>
      <c r="C15" s="5"/>
      <c r="D15" s="5"/>
      <c r="E15" s="5"/>
      <c r="F15" s="5"/>
      <c r="G15" s="5"/>
      <c r="H15" s="5"/>
      <c r="I15" s="5"/>
      <c r="J15" s="5"/>
      <c r="K15" s="5"/>
      <c r="L15" s="172"/>
      <c r="M15" s="108" t="str">
        <f>N8</f>
        <v>广州</v>
      </c>
      <c r="N15" s="165">
        <f>O8*O4*N14</f>
        <v>484000</v>
      </c>
      <c r="O15" s="166"/>
      <c r="P15" s="167"/>
    </row>
    <row r="16" spans="2:23" x14ac:dyDescent="0.25">
      <c r="B16" s="175"/>
      <c r="C16" s="5"/>
      <c r="D16" s="5"/>
      <c r="E16" s="5"/>
      <c r="F16" s="5"/>
      <c r="G16" s="5"/>
      <c r="H16" s="5"/>
      <c r="I16" s="5"/>
      <c r="J16" s="5"/>
      <c r="K16" s="5"/>
      <c r="L16" s="172"/>
      <c r="M16" s="108" t="str">
        <f t="shared" ref="M16:M17" si="0">N9</f>
        <v>佛山</v>
      </c>
      <c r="N16" s="165">
        <f>O9*O4*N14</f>
        <v>253000</v>
      </c>
      <c r="O16" s="166"/>
      <c r="P16" s="167"/>
    </row>
    <row r="17" spans="2:16" ht="14.4" thickBot="1" x14ac:dyDescent="0.3">
      <c r="B17" s="176"/>
      <c r="C17" s="7"/>
      <c r="D17" s="7"/>
      <c r="E17" s="7"/>
      <c r="F17" s="7"/>
      <c r="G17" s="7"/>
      <c r="H17" s="7"/>
      <c r="I17" s="7"/>
      <c r="J17" s="7"/>
      <c r="K17" s="7"/>
      <c r="L17" s="173"/>
      <c r="M17" s="112" t="str">
        <f t="shared" si="0"/>
        <v>茂名</v>
      </c>
      <c r="N17" s="168">
        <f>O10*O4*N14</f>
        <v>165000</v>
      </c>
      <c r="O17" s="169"/>
      <c r="P17" s="170"/>
    </row>
    <row r="18" spans="2:16" ht="42.6" customHeight="1" thickBot="1" x14ac:dyDescent="0.3">
      <c r="B18" s="109" t="s">
        <v>39</v>
      </c>
      <c r="C18" s="46"/>
      <c r="D18" s="46"/>
      <c r="E18" s="46"/>
      <c r="F18" s="46"/>
      <c r="G18" s="46"/>
      <c r="H18" s="46"/>
      <c r="I18" s="46"/>
      <c r="J18" s="46"/>
      <c r="K18" s="46"/>
      <c r="L18" s="47" t="s">
        <v>12</v>
      </c>
      <c r="M18" s="47" t="s">
        <v>24</v>
      </c>
      <c r="N18" s="47" t="s">
        <v>25</v>
      </c>
      <c r="O18" s="47" t="s">
        <v>26</v>
      </c>
      <c r="P18" s="48" t="s">
        <v>27</v>
      </c>
    </row>
    <row r="19" spans="2:16" x14ac:dyDescent="0.25">
      <c r="B19" s="126" t="s">
        <v>2</v>
      </c>
      <c r="C19" s="42"/>
      <c r="D19" s="42"/>
      <c r="E19" s="42"/>
      <c r="F19" s="42"/>
      <c r="G19" s="42"/>
      <c r="H19" s="42"/>
      <c r="I19" s="42"/>
      <c r="J19" s="42"/>
      <c r="K19" s="42"/>
      <c r="L19" s="42" t="str">
        <f>N8</f>
        <v>广州</v>
      </c>
      <c r="M19" s="88"/>
      <c r="N19" s="88"/>
      <c r="O19" s="89">
        <f>IF(C31-N15-N13&lt;0,IF(C31-N15&lt;0,0,C31-N15),N13)</f>
        <v>600000</v>
      </c>
      <c r="P19" s="90"/>
    </row>
    <row r="20" spans="2:16" x14ac:dyDescent="0.25">
      <c r="B20" s="127"/>
      <c r="C20" s="43"/>
      <c r="D20" s="43"/>
      <c r="E20" s="43"/>
      <c r="F20" s="43"/>
      <c r="G20" s="43"/>
      <c r="H20" s="43"/>
      <c r="I20" s="43"/>
      <c r="J20" s="43"/>
      <c r="K20" s="43"/>
      <c r="L20" s="43" t="str">
        <f>N9</f>
        <v>佛山</v>
      </c>
      <c r="M20" s="50"/>
      <c r="N20" s="50"/>
      <c r="O20" s="50"/>
      <c r="P20" s="51">
        <f>IF(C32-N16-P13&lt;0,IF(C32-N16&lt;0,0,C32-N16),P13)</f>
        <v>600000</v>
      </c>
    </row>
    <row r="21" spans="2:16" x14ac:dyDescent="0.25">
      <c r="B21" s="127"/>
      <c r="C21" s="43"/>
      <c r="D21" s="43"/>
      <c r="E21" s="43"/>
      <c r="F21" s="43"/>
      <c r="G21" s="43"/>
      <c r="H21" s="43"/>
      <c r="I21" s="43"/>
      <c r="J21" s="43"/>
      <c r="K21" s="43"/>
      <c r="L21" s="43" t="str">
        <f>N10</f>
        <v>茂名</v>
      </c>
      <c r="M21" s="50"/>
      <c r="N21" s="50"/>
      <c r="O21" s="50"/>
      <c r="P21" s="51">
        <f>IF(C33-N17-P13&lt;0,IF(C33-N17&lt;0,0,C33-N17),P13)</f>
        <v>600000</v>
      </c>
    </row>
    <row r="22" spans="2:16" x14ac:dyDescent="0.25">
      <c r="B22" s="119" t="s">
        <v>3</v>
      </c>
      <c r="C22" s="44"/>
      <c r="D22" s="44"/>
      <c r="E22" s="44"/>
      <c r="F22" s="44"/>
      <c r="G22" s="44"/>
      <c r="H22" s="44"/>
      <c r="I22" s="44"/>
      <c r="J22" s="44"/>
      <c r="K22" s="44"/>
      <c r="L22" s="44" t="str">
        <f>N8</f>
        <v>广州</v>
      </c>
      <c r="M22" s="52">
        <f>C31-N15</f>
        <v>1936000</v>
      </c>
      <c r="N22" s="52">
        <f>M22</f>
        <v>1936000</v>
      </c>
      <c r="O22" s="52">
        <f>IF(N22-O19&lt;0,0,N22-O19)</f>
        <v>1336000</v>
      </c>
      <c r="P22" s="53"/>
    </row>
    <row r="23" spans="2:16" x14ac:dyDescent="0.25">
      <c r="B23" s="119"/>
      <c r="C23" s="44"/>
      <c r="D23" s="44"/>
      <c r="E23" s="44"/>
      <c r="F23" s="44"/>
      <c r="G23" s="44"/>
      <c r="H23" s="44"/>
      <c r="I23" s="44"/>
      <c r="J23" s="44"/>
      <c r="K23" s="44"/>
      <c r="L23" s="44" t="str">
        <f>N9</f>
        <v>佛山</v>
      </c>
      <c r="M23" s="52">
        <f>C32-N16</f>
        <v>1012000</v>
      </c>
      <c r="N23" s="52">
        <f>M23</f>
        <v>1012000</v>
      </c>
      <c r="O23" s="54"/>
      <c r="P23" s="55">
        <f>IF(N23-P20&lt;0,0,N23-P20)</f>
        <v>412000</v>
      </c>
    </row>
    <row r="24" spans="2:16" ht="14.4" thickBot="1" x14ac:dyDescent="0.3">
      <c r="B24" s="120"/>
      <c r="C24" s="45"/>
      <c r="D24" s="45"/>
      <c r="E24" s="45"/>
      <c r="F24" s="45"/>
      <c r="G24" s="45"/>
      <c r="H24" s="45"/>
      <c r="I24" s="45"/>
      <c r="J24" s="45"/>
      <c r="K24" s="45"/>
      <c r="L24" s="45" t="str">
        <f>N10</f>
        <v>茂名</v>
      </c>
      <c r="M24" s="91">
        <f>C33-N17</f>
        <v>660000</v>
      </c>
      <c r="N24" s="91">
        <f>M24</f>
        <v>660000</v>
      </c>
      <c r="O24" s="92"/>
      <c r="P24" s="93">
        <f>IF(N24-P21&lt;0,0,N24-P21)</f>
        <v>60000</v>
      </c>
    </row>
    <row r="25" spans="2:16" x14ac:dyDescent="0.25">
      <c r="B25" s="153" t="s">
        <v>30</v>
      </c>
      <c r="C25" s="24"/>
      <c r="D25" s="25">
        <f>N22</f>
        <v>1936000</v>
      </c>
      <c r="E25" s="25">
        <f>O19</f>
        <v>600000</v>
      </c>
      <c r="F25" s="25">
        <f>O22</f>
        <v>1336000</v>
      </c>
      <c r="G25" s="26">
        <f>N11</f>
        <v>3.5000000000000003E-2</v>
      </c>
      <c r="H25" s="26">
        <f>P11</f>
        <v>0.03</v>
      </c>
      <c r="I25" s="26">
        <f>N12</f>
        <v>2.5999999999999999E-2</v>
      </c>
      <c r="J25" s="26">
        <f>P12</f>
        <v>2.5999999999999999E-2</v>
      </c>
      <c r="K25" s="27">
        <f>O7</f>
        <v>30</v>
      </c>
      <c r="L25" s="24" t="str">
        <f>N8</f>
        <v>广州</v>
      </c>
      <c r="M25" s="94">
        <f>-PMT(G25/12,K25*12,D25)</f>
        <v>8693.5051559788426</v>
      </c>
      <c r="N25" s="94">
        <f>-PMT(H25/12,K25*12,D25)</f>
        <v>8162.2540930021614</v>
      </c>
      <c r="O25" s="94">
        <f>(-PMT(I25/12,K25*12,E25))+(-PMT(G25/12,K25*12,F25))</f>
        <v>8401.275298344106</v>
      </c>
      <c r="P25" s="95"/>
    </row>
    <row r="26" spans="2:16" x14ac:dyDescent="0.25">
      <c r="B26" s="154"/>
      <c r="C26" s="9"/>
      <c r="D26" s="10">
        <f>N23</f>
        <v>1012000</v>
      </c>
      <c r="E26" s="10">
        <f>P20</f>
        <v>600000</v>
      </c>
      <c r="F26" s="10">
        <f>P23</f>
        <v>412000</v>
      </c>
      <c r="G26" s="11">
        <f>N11</f>
        <v>3.5000000000000003E-2</v>
      </c>
      <c r="H26" s="11">
        <f>P11</f>
        <v>0.03</v>
      </c>
      <c r="I26" s="11">
        <f>N12</f>
        <v>2.5999999999999999E-2</v>
      </c>
      <c r="J26" s="11">
        <f>P12</f>
        <v>2.5999999999999999E-2</v>
      </c>
      <c r="K26" s="9">
        <f>O7</f>
        <v>30</v>
      </c>
      <c r="L26" s="9" t="str">
        <f>N9</f>
        <v>佛山</v>
      </c>
      <c r="M26" s="56">
        <f>-PMT(G26/12,K26*12,D26)</f>
        <v>4544.3322406253037</v>
      </c>
      <c r="N26" s="56">
        <f>-PMT(H26/12,K26*12,D26)</f>
        <v>4266.6328213420393</v>
      </c>
      <c r="O26" s="57"/>
      <c r="P26" s="58">
        <f>(-PMT(J26/12,K26*12,E26))+(-PMT(G26/12,K26*12,F26))</f>
        <v>4252.1023829905671</v>
      </c>
    </row>
    <row r="27" spans="2:16" x14ac:dyDescent="0.25">
      <c r="B27" s="154"/>
      <c r="C27" s="9"/>
      <c r="D27" s="10">
        <f>N24</f>
        <v>660000</v>
      </c>
      <c r="E27" s="10">
        <f>P21</f>
        <v>600000</v>
      </c>
      <c r="F27" s="10">
        <f>P24</f>
        <v>60000</v>
      </c>
      <c r="G27" s="11">
        <f>N11</f>
        <v>3.5000000000000003E-2</v>
      </c>
      <c r="H27" s="11">
        <f>P11</f>
        <v>0.03</v>
      </c>
      <c r="I27" s="11">
        <f>N12</f>
        <v>2.5999999999999999E-2</v>
      </c>
      <c r="J27" s="11">
        <f>P12</f>
        <v>2.5999999999999999E-2</v>
      </c>
      <c r="K27" s="9">
        <f>O7</f>
        <v>30</v>
      </c>
      <c r="L27" s="9" t="str">
        <f>N10</f>
        <v>茂名</v>
      </c>
      <c r="M27" s="56">
        <f>-PMT(G27/12,K27*12,D27)</f>
        <v>2963.6949395382417</v>
      </c>
      <c r="N27" s="56">
        <f>-PMT(H27/12,K27*12,D27)</f>
        <v>2782.5866226143735</v>
      </c>
      <c r="O27" s="57"/>
      <c r="P27" s="58">
        <f>(-PMT(J27/12,K27*12,E27))+(-PMT(G27/12,K27*12,F27))</f>
        <v>2671.4650819035051</v>
      </c>
    </row>
    <row r="28" spans="2:16" x14ac:dyDescent="0.25">
      <c r="B28" s="121" t="s">
        <v>29</v>
      </c>
      <c r="C28" s="16"/>
      <c r="D28" s="16">
        <f>N22</f>
        <v>1936000</v>
      </c>
      <c r="E28" s="17">
        <f>O19</f>
        <v>600000</v>
      </c>
      <c r="F28" s="17">
        <f>O22</f>
        <v>1336000</v>
      </c>
      <c r="G28" s="18">
        <f>N11</f>
        <v>3.5000000000000003E-2</v>
      </c>
      <c r="H28" s="18">
        <f>P11</f>
        <v>0.03</v>
      </c>
      <c r="I28" s="18">
        <f>N12</f>
        <v>2.5999999999999999E-2</v>
      </c>
      <c r="J28" s="18">
        <f>P12</f>
        <v>2.5999999999999999E-2</v>
      </c>
      <c r="K28" s="16">
        <f>O7</f>
        <v>30</v>
      </c>
      <c r="L28" s="16" t="str">
        <f>N8</f>
        <v>广州</v>
      </c>
      <c r="M28" s="59">
        <f>-(PMT(G28/12,K28*12,D28))*12*K28-N22</f>
        <v>1193661.8561523836</v>
      </c>
      <c r="N28" s="59">
        <f>-(PMT(H28/12,K28*12,D28))*12*K28-N22</f>
        <v>1002411.4734807783</v>
      </c>
      <c r="O28" s="59">
        <f>(-(PMT(I28/12,K28*12,E28))*12*K28-O19)+(-(PMT(G28/12,K28*12,F28))*12*K28-O22)</f>
        <v>1088459.1074038777</v>
      </c>
      <c r="P28" s="60"/>
    </row>
    <row r="29" spans="2:16" x14ac:dyDescent="0.25">
      <c r="B29" s="122"/>
      <c r="C29" s="20"/>
      <c r="D29" s="20">
        <f>N23</f>
        <v>1012000</v>
      </c>
      <c r="E29" s="19">
        <f>P20</f>
        <v>600000</v>
      </c>
      <c r="F29" s="19">
        <f>P23</f>
        <v>412000</v>
      </c>
      <c r="G29" s="18">
        <f>N11</f>
        <v>3.5000000000000003E-2</v>
      </c>
      <c r="H29" s="18">
        <f>P11</f>
        <v>0.03</v>
      </c>
      <c r="I29" s="18">
        <f>N12</f>
        <v>2.5999999999999999E-2</v>
      </c>
      <c r="J29" s="18">
        <f>P12</f>
        <v>2.5999999999999999E-2</v>
      </c>
      <c r="K29" s="20">
        <f>O7</f>
        <v>30</v>
      </c>
      <c r="L29" s="20" t="str">
        <f>N9</f>
        <v>佛山</v>
      </c>
      <c r="M29" s="59">
        <f>-(PMT(G29/12,K29*12,D29))*12*K29-N23</f>
        <v>623959.60662510945</v>
      </c>
      <c r="N29" s="59">
        <f>-(PMT(H29/12,K29*12,D29))*12*K29-N23</f>
        <v>523987.81568313437</v>
      </c>
      <c r="O29" s="61"/>
      <c r="P29" s="62">
        <f>(-(PMT(J29/12,K29*12,E29))*12*K29-P20)+(-(PMT(G29/12,K29*12,F29))*12*K29-P23)</f>
        <v>518756.85787660407</v>
      </c>
    </row>
    <row r="30" spans="2:16" x14ac:dyDescent="0.25">
      <c r="B30" s="122"/>
      <c r="C30" s="20"/>
      <c r="D30" s="20">
        <f>N24</f>
        <v>660000</v>
      </c>
      <c r="E30" s="19">
        <f>P21</f>
        <v>600000</v>
      </c>
      <c r="F30" s="19">
        <f>P24</f>
        <v>60000</v>
      </c>
      <c r="G30" s="18">
        <f>N11</f>
        <v>3.5000000000000003E-2</v>
      </c>
      <c r="H30" s="18">
        <f>P11</f>
        <v>0.03</v>
      </c>
      <c r="I30" s="18">
        <f>N12</f>
        <v>2.5999999999999999E-2</v>
      </c>
      <c r="J30" s="18">
        <f>P12</f>
        <v>2.5999999999999999E-2</v>
      </c>
      <c r="K30" s="20">
        <f>O7</f>
        <v>30</v>
      </c>
      <c r="L30" s="20" t="str">
        <f>N10</f>
        <v>茂名</v>
      </c>
      <c r="M30" s="59">
        <f>-(PMT(G30/12,K30*12,D30))*12*K30-N24</f>
        <v>406930.17823376693</v>
      </c>
      <c r="N30" s="59">
        <f>-(PMT(H30/12,K30*12,D30))*12*K30-N24</f>
        <v>341731.18414117442</v>
      </c>
      <c r="O30" s="61"/>
      <c r="P30" s="62">
        <f>(-(PMT(J30/12,K30*12,E30))*12*K30-P21)+(-(PMT(G30/12,K30*12,F30))*12*K30-P24)</f>
        <v>301727.42948526167</v>
      </c>
    </row>
    <row r="31" spans="2:16" x14ac:dyDescent="0.25">
      <c r="B31" s="123" t="s">
        <v>31</v>
      </c>
      <c r="C31" s="21">
        <f>O4*O8</f>
        <v>2420000</v>
      </c>
      <c r="D31" s="21"/>
      <c r="E31" s="22"/>
      <c r="F31" s="22"/>
      <c r="G31" s="23"/>
      <c r="H31" s="23"/>
      <c r="I31" s="23"/>
      <c r="J31" s="23"/>
      <c r="K31" s="21"/>
      <c r="L31" s="21" t="str">
        <f>N8</f>
        <v>广州</v>
      </c>
      <c r="M31" s="63">
        <f>C31+M28</f>
        <v>3613661.8561523836</v>
      </c>
      <c r="N31" s="63">
        <f>C31+N28</f>
        <v>3422411.4734807783</v>
      </c>
      <c r="O31" s="63">
        <f>C31+O28</f>
        <v>3508459.1074038777</v>
      </c>
      <c r="P31" s="64"/>
    </row>
    <row r="32" spans="2:16" x14ac:dyDescent="0.25">
      <c r="B32" s="124"/>
      <c r="C32" s="21">
        <f>O4*O9</f>
        <v>1265000</v>
      </c>
      <c r="D32" s="21"/>
      <c r="E32" s="22"/>
      <c r="F32" s="22"/>
      <c r="G32" s="23"/>
      <c r="H32" s="23"/>
      <c r="I32" s="23"/>
      <c r="J32" s="23"/>
      <c r="K32" s="21"/>
      <c r="L32" s="21" t="str">
        <f>N9</f>
        <v>佛山</v>
      </c>
      <c r="M32" s="63">
        <f>C32+M29</f>
        <v>1888959.6066251094</v>
      </c>
      <c r="N32" s="63">
        <f>C32+N29</f>
        <v>1788987.8156831344</v>
      </c>
      <c r="O32" s="65"/>
      <c r="P32" s="66">
        <f>C32+P29</f>
        <v>1783756.857876604</v>
      </c>
    </row>
    <row r="33" spans="2:16" ht="14.4" thickBot="1" x14ac:dyDescent="0.3">
      <c r="B33" s="125"/>
      <c r="C33" s="101">
        <f>O4*O10</f>
        <v>825000</v>
      </c>
      <c r="D33" s="101"/>
      <c r="E33" s="101"/>
      <c r="F33" s="101"/>
      <c r="G33" s="102"/>
      <c r="H33" s="102"/>
      <c r="I33" s="102"/>
      <c r="J33" s="102"/>
      <c r="K33" s="101"/>
      <c r="L33" s="101" t="str">
        <f>N10</f>
        <v>茂名</v>
      </c>
      <c r="M33" s="103">
        <f>C33+M30</f>
        <v>1231930.1782337669</v>
      </c>
      <c r="N33" s="103">
        <f>C33+N30</f>
        <v>1166731.1841411744</v>
      </c>
      <c r="O33" s="104"/>
      <c r="P33" s="105">
        <f>C33+P30</f>
        <v>1126727.4294852617</v>
      </c>
    </row>
    <row r="34" spans="2:16" x14ac:dyDescent="0.25">
      <c r="B34" s="147" t="s">
        <v>32</v>
      </c>
      <c r="C34" s="106"/>
      <c r="D34" s="106"/>
      <c r="E34" s="106"/>
      <c r="F34" s="106"/>
      <c r="G34" s="107"/>
      <c r="H34" s="107"/>
      <c r="I34" s="107"/>
      <c r="J34" s="107"/>
      <c r="K34" s="106"/>
      <c r="L34" s="106" t="str">
        <f>N8</f>
        <v>广州</v>
      </c>
      <c r="M34" s="149">
        <f>IF(O4&lt;=140,C31*0.01,IF(O4&gt;140,C31*0.015))</f>
        <v>24200</v>
      </c>
      <c r="N34" s="149"/>
      <c r="O34" s="149"/>
      <c r="P34" s="150"/>
    </row>
    <row r="35" spans="2:16" x14ac:dyDescent="0.25">
      <c r="B35" s="148"/>
      <c r="C35" s="5"/>
      <c r="D35" s="5"/>
      <c r="E35" s="5"/>
      <c r="F35" s="5"/>
      <c r="G35" s="28"/>
      <c r="H35" s="28"/>
      <c r="I35" s="28"/>
      <c r="J35" s="28"/>
      <c r="K35" s="5"/>
      <c r="L35" s="5" t="str">
        <f>N9</f>
        <v>佛山</v>
      </c>
      <c r="M35" s="151">
        <f>IF(O4&lt;=140,C32*0.01,IF(O4&gt;140,C32*0.015))</f>
        <v>12650</v>
      </c>
      <c r="N35" s="151"/>
      <c r="O35" s="151"/>
      <c r="P35" s="152"/>
    </row>
    <row r="36" spans="2:16" x14ac:dyDescent="0.25">
      <c r="B36" s="148"/>
      <c r="C36" s="5"/>
      <c r="D36" s="5"/>
      <c r="E36" s="5"/>
      <c r="F36" s="5"/>
      <c r="G36" s="28"/>
      <c r="H36" s="28"/>
      <c r="I36" s="28"/>
      <c r="J36" s="28"/>
      <c r="K36" s="5"/>
      <c r="L36" s="5" t="str">
        <f>N10</f>
        <v>茂名</v>
      </c>
      <c r="M36" s="151">
        <f>IF(O4&lt;=140,C33*0.01,IF(O4&gt;140,C33*0.015))</f>
        <v>8250</v>
      </c>
      <c r="N36" s="151"/>
      <c r="O36" s="151"/>
      <c r="P36" s="152"/>
    </row>
    <row r="37" spans="2:16" x14ac:dyDescent="0.25">
      <c r="B37" s="136" t="s">
        <v>36</v>
      </c>
      <c r="C37" s="5"/>
      <c r="D37" s="5"/>
      <c r="E37" s="5"/>
      <c r="F37" s="5"/>
      <c r="G37" s="28"/>
      <c r="H37" s="28"/>
      <c r="I37" s="28"/>
      <c r="J37" s="28"/>
      <c r="K37" s="5"/>
      <c r="L37" s="5" t="str">
        <f>N8</f>
        <v>广州</v>
      </c>
      <c r="M37" s="139">
        <v>0</v>
      </c>
      <c r="N37" s="140"/>
      <c r="O37" s="140"/>
      <c r="P37" s="141"/>
    </row>
    <row r="38" spans="2:16" x14ac:dyDescent="0.25">
      <c r="B38" s="137"/>
      <c r="C38" s="5"/>
      <c r="D38" s="5"/>
      <c r="E38" s="5"/>
      <c r="F38" s="5"/>
      <c r="G38" s="28"/>
      <c r="H38" s="28"/>
      <c r="I38" s="28"/>
      <c r="J38" s="28"/>
      <c r="K38" s="5"/>
      <c r="L38" s="5" t="str">
        <f>N9</f>
        <v>佛山</v>
      </c>
      <c r="M38" s="139">
        <v>0</v>
      </c>
      <c r="N38" s="140"/>
      <c r="O38" s="140"/>
      <c r="P38" s="141"/>
    </row>
    <row r="39" spans="2:16" x14ac:dyDescent="0.25">
      <c r="B39" s="180"/>
      <c r="C39" s="5"/>
      <c r="D39" s="5"/>
      <c r="E39" s="5"/>
      <c r="F39" s="5"/>
      <c r="G39" s="28"/>
      <c r="H39" s="28"/>
      <c r="I39" s="28"/>
      <c r="J39" s="28"/>
      <c r="K39" s="5"/>
      <c r="L39" s="5" t="str">
        <f>N10</f>
        <v>茂名</v>
      </c>
      <c r="M39" s="139">
        <v>0</v>
      </c>
      <c r="N39" s="140"/>
      <c r="O39" s="140"/>
      <c r="P39" s="141"/>
    </row>
    <row r="40" spans="2:16" x14ac:dyDescent="0.25">
      <c r="B40" s="136" t="s">
        <v>37</v>
      </c>
      <c r="C40" s="5"/>
      <c r="D40" s="5"/>
      <c r="E40" s="5"/>
      <c r="F40" s="5"/>
      <c r="G40" s="28"/>
      <c r="H40" s="28"/>
      <c r="I40" s="28"/>
      <c r="J40" s="28"/>
      <c r="K40" s="5"/>
      <c r="L40" s="5" t="str">
        <f>N8</f>
        <v>广州</v>
      </c>
      <c r="M40" s="139">
        <v>0</v>
      </c>
      <c r="N40" s="140"/>
      <c r="O40" s="140"/>
      <c r="P40" s="141"/>
    </row>
    <row r="41" spans="2:16" x14ac:dyDescent="0.25">
      <c r="B41" s="137"/>
      <c r="C41" s="5"/>
      <c r="D41" s="5"/>
      <c r="E41" s="5"/>
      <c r="F41" s="5"/>
      <c r="G41" s="28"/>
      <c r="H41" s="28"/>
      <c r="I41" s="28"/>
      <c r="J41" s="28"/>
      <c r="K41" s="5"/>
      <c r="L41" s="5" t="str">
        <f>N9</f>
        <v>佛山</v>
      </c>
      <c r="M41" s="139">
        <v>0</v>
      </c>
      <c r="N41" s="140"/>
      <c r="O41" s="140"/>
      <c r="P41" s="141"/>
    </row>
    <row r="42" spans="2:16" x14ac:dyDescent="0.25">
      <c r="B42" s="180"/>
      <c r="C42" s="5"/>
      <c r="D42" s="5"/>
      <c r="E42" s="5"/>
      <c r="F42" s="5"/>
      <c r="G42" s="28"/>
      <c r="H42" s="28"/>
      <c r="I42" s="28"/>
      <c r="J42" s="28"/>
      <c r="K42" s="5"/>
      <c r="L42" s="5" t="str">
        <f>N10</f>
        <v>茂名</v>
      </c>
      <c r="M42" s="139">
        <v>0</v>
      </c>
      <c r="N42" s="140"/>
      <c r="O42" s="140"/>
      <c r="P42" s="141"/>
    </row>
    <row r="43" spans="2:16" x14ac:dyDescent="0.25">
      <c r="B43" s="136" t="s">
        <v>38</v>
      </c>
      <c r="C43" s="5"/>
      <c r="D43" s="5"/>
      <c r="E43" s="5"/>
      <c r="F43" s="5"/>
      <c r="G43" s="28"/>
      <c r="H43" s="28"/>
      <c r="I43" s="28"/>
      <c r="J43" s="28"/>
      <c r="K43" s="5"/>
      <c r="L43" s="5" t="str">
        <f>N8</f>
        <v>广州</v>
      </c>
      <c r="M43" s="139">
        <v>0</v>
      </c>
      <c r="N43" s="140"/>
      <c r="O43" s="140"/>
      <c r="P43" s="141"/>
    </row>
    <row r="44" spans="2:16" x14ac:dyDescent="0.25">
      <c r="B44" s="137"/>
      <c r="C44" s="5"/>
      <c r="D44" s="5"/>
      <c r="E44" s="5"/>
      <c r="F44" s="5"/>
      <c r="G44" s="28"/>
      <c r="H44" s="28"/>
      <c r="I44" s="28"/>
      <c r="J44" s="28"/>
      <c r="K44" s="5"/>
      <c r="L44" s="5" t="str">
        <f>N9</f>
        <v>佛山</v>
      </c>
      <c r="M44" s="139">
        <v>0</v>
      </c>
      <c r="N44" s="140"/>
      <c r="O44" s="140"/>
      <c r="P44" s="141"/>
    </row>
    <row r="45" spans="2:16" ht="14.4" thickBot="1" x14ac:dyDescent="0.3">
      <c r="B45" s="138"/>
      <c r="C45" s="7"/>
      <c r="D45" s="7"/>
      <c r="E45" s="7"/>
      <c r="F45" s="7"/>
      <c r="G45" s="96"/>
      <c r="H45" s="96"/>
      <c r="I45" s="96"/>
      <c r="J45" s="96"/>
      <c r="K45" s="7"/>
      <c r="L45" s="7" t="str">
        <f>N10</f>
        <v>茂名</v>
      </c>
      <c r="M45" s="142">
        <v>0</v>
      </c>
      <c r="N45" s="143"/>
      <c r="O45" s="143"/>
      <c r="P45" s="144"/>
    </row>
    <row r="46" spans="2:16" x14ac:dyDescent="0.25">
      <c r="B46" s="113" t="s">
        <v>35</v>
      </c>
      <c r="C46" s="97"/>
      <c r="D46" s="97"/>
      <c r="E46" s="97"/>
      <c r="F46" s="97"/>
      <c r="G46" s="98"/>
      <c r="H46" s="98"/>
      <c r="I46" s="98"/>
      <c r="J46" s="98"/>
      <c r="K46" s="97"/>
      <c r="L46" s="97" t="str">
        <f>N8</f>
        <v>广州</v>
      </c>
      <c r="M46" s="99">
        <f>M31+M34+M37+M40+M43</f>
        <v>3637861.8561523836</v>
      </c>
      <c r="N46" s="99">
        <f>N31+M34+M37+M40+M43</f>
        <v>3446611.4734807783</v>
      </c>
      <c r="O46" s="99">
        <f>O31+M34+M37+M40+M43</f>
        <v>3532659.1074038777</v>
      </c>
      <c r="P46" s="100"/>
    </row>
    <row r="47" spans="2:16" x14ac:dyDescent="0.25">
      <c r="B47" s="114"/>
      <c r="C47" s="29"/>
      <c r="D47" s="29"/>
      <c r="E47" s="29"/>
      <c r="F47" s="29"/>
      <c r="G47" s="30"/>
      <c r="H47" s="30"/>
      <c r="I47" s="30"/>
      <c r="J47" s="30"/>
      <c r="K47" s="29"/>
      <c r="L47" s="29" t="str">
        <f>N9</f>
        <v>佛山</v>
      </c>
      <c r="M47" s="67">
        <f t="shared" ref="M47:M48" si="1">M32+M35+M38+M41+M44</f>
        <v>1901609.6066251094</v>
      </c>
      <c r="N47" s="67">
        <f>N32+M35+M38+M41+M44</f>
        <v>1801637.8156831344</v>
      </c>
      <c r="O47" s="68"/>
      <c r="P47" s="69">
        <f>P32+M35+M38+M41+M44</f>
        <v>1796406.857876604</v>
      </c>
    </row>
    <row r="48" spans="2:16" x14ac:dyDescent="0.25">
      <c r="B48" s="115"/>
      <c r="C48" s="29"/>
      <c r="D48" s="29"/>
      <c r="E48" s="29"/>
      <c r="F48" s="29"/>
      <c r="G48" s="30"/>
      <c r="H48" s="30"/>
      <c r="I48" s="30"/>
      <c r="J48" s="30"/>
      <c r="K48" s="29"/>
      <c r="L48" s="29" t="str">
        <f>N10</f>
        <v>茂名</v>
      </c>
      <c r="M48" s="67">
        <f t="shared" si="1"/>
        <v>1240180.1782337669</v>
      </c>
      <c r="N48" s="67">
        <f>N33+M36+M39+M42+M45</f>
        <v>1174981.1841411744</v>
      </c>
      <c r="O48" s="68"/>
      <c r="P48" s="69">
        <f>P33+M36+M39+M42+M45</f>
        <v>1134977.4294852617</v>
      </c>
    </row>
    <row r="49" spans="2:16" x14ac:dyDescent="0.25">
      <c r="B49" s="179" t="s">
        <v>18</v>
      </c>
      <c r="C49" s="31"/>
      <c r="D49" s="32"/>
      <c r="E49" s="32"/>
      <c r="F49" s="32"/>
      <c r="G49" s="33"/>
      <c r="H49" s="33"/>
      <c r="I49" s="33"/>
      <c r="J49" s="33"/>
      <c r="K49" s="32"/>
      <c r="L49" s="32" t="str">
        <f>N8</f>
        <v>广州</v>
      </c>
      <c r="M49" s="70">
        <f>M46/O6</f>
        <v>40420.687290582042</v>
      </c>
      <c r="N49" s="70">
        <f>N46/O6</f>
        <v>38295.683038675314</v>
      </c>
      <c r="O49" s="70">
        <f>O46/O6</f>
        <v>39251.767860043088</v>
      </c>
      <c r="P49" s="71"/>
    </row>
    <row r="50" spans="2:16" x14ac:dyDescent="0.25">
      <c r="B50" s="179"/>
      <c r="C50" s="31"/>
      <c r="D50" s="32"/>
      <c r="E50" s="32"/>
      <c r="F50" s="32"/>
      <c r="G50" s="33"/>
      <c r="H50" s="33"/>
      <c r="I50" s="33"/>
      <c r="J50" s="33"/>
      <c r="K50" s="32"/>
      <c r="L50" s="32" t="str">
        <f>N9</f>
        <v>佛山</v>
      </c>
      <c r="M50" s="70">
        <f>M47/O6</f>
        <v>21128.995629167883</v>
      </c>
      <c r="N50" s="70">
        <f>N47/O6</f>
        <v>20018.197952034825</v>
      </c>
      <c r="O50" s="72"/>
      <c r="P50" s="73">
        <f>P47/O6</f>
        <v>19960.076198628933</v>
      </c>
    </row>
    <row r="51" spans="2:16" x14ac:dyDescent="0.25">
      <c r="B51" s="179"/>
      <c r="C51" s="31"/>
      <c r="D51" s="32"/>
      <c r="E51" s="32"/>
      <c r="F51" s="32"/>
      <c r="G51" s="33"/>
      <c r="H51" s="33"/>
      <c r="I51" s="33"/>
      <c r="J51" s="33"/>
      <c r="K51" s="32"/>
      <c r="L51" s="32" t="str">
        <f>N10</f>
        <v>茂名</v>
      </c>
      <c r="M51" s="70">
        <f>M48/O6</f>
        <v>13779.779758152967</v>
      </c>
      <c r="N51" s="70">
        <f>N48/O6</f>
        <v>13055.346490457494</v>
      </c>
      <c r="O51" s="72"/>
      <c r="P51" s="73">
        <f>P48/O6</f>
        <v>12610.860327614018</v>
      </c>
    </row>
    <row r="52" spans="2:16" x14ac:dyDescent="0.25">
      <c r="B52" s="177" t="s">
        <v>17</v>
      </c>
      <c r="C52" s="34"/>
      <c r="D52" s="34"/>
      <c r="E52" s="34"/>
      <c r="F52" s="34"/>
      <c r="G52" s="34"/>
      <c r="H52" s="34"/>
      <c r="I52" s="34"/>
      <c r="J52" s="34"/>
      <c r="K52" s="34"/>
      <c r="L52" s="35" t="str">
        <f>N8</f>
        <v>广州</v>
      </c>
      <c r="M52" s="74">
        <f>M46/50/12</f>
        <v>6063.1030935873059</v>
      </c>
      <c r="N52" s="74">
        <f>N46/50/12</f>
        <v>5744.3524558012969</v>
      </c>
      <c r="O52" s="74">
        <f>O46/50/12</f>
        <v>5887.7651790064629</v>
      </c>
      <c r="P52" s="75"/>
    </row>
    <row r="53" spans="2:16" x14ac:dyDescent="0.25">
      <c r="B53" s="178"/>
      <c r="C53" s="34"/>
      <c r="D53" s="34"/>
      <c r="E53" s="34"/>
      <c r="F53" s="34"/>
      <c r="G53" s="34"/>
      <c r="H53" s="34"/>
      <c r="I53" s="34"/>
      <c r="J53" s="34"/>
      <c r="K53" s="34"/>
      <c r="L53" s="35" t="str">
        <f>N9</f>
        <v>佛山</v>
      </c>
      <c r="M53" s="74">
        <f t="shared" ref="M53:N54" si="2">M47/50/12</f>
        <v>3169.3493443751827</v>
      </c>
      <c r="N53" s="74">
        <f t="shared" si="2"/>
        <v>3002.7296928052237</v>
      </c>
      <c r="O53" s="76"/>
      <c r="P53" s="77">
        <f>P47/50/12</f>
        <v>2994.0114297943401</v>
      </c>
    </row>
    <row r="54" spans="2:16" x14ac:dyDescent="0.25">
      <c r="B54" s="178"/>
      <c r="C54" s="36"/>
      <c r="D54" s="36"/>
      <c r="E54" s="36"/>
      <c r="F54" s="36"/>
      <c r="G54" s="36"/>
      <c r="H54" s="36"/>
      <c r="I54" s="36"/>
      <c r="J54" s="36"/>
      <c r="K54" s="36"/>
      <c r="L54" s="37" t="str">
        <f>N10</f>
        <v>茂名</v>
      </c>
      <c r="M54" s="78">
        <f t="shared" si="2"/>
        <v>2066.9669637229449</v>
      </c>
      <c r="N54" s="78">
        <f t="shared" si="2"/>
        <v>1958.3019735686239</v>
      </c>
      <c r="O54" s="79"/>
      <c r="P54" s="80">
        <f>P48/50/12</f>
        <v>1891.629049142103</v>
      </c>
    </row>
    <row r="55" spans="2:16" x14ac:dyDescent="0.25">
      <c r="B55" s="159" t="s">
        <v>21</v>
      </c>
      <c r="C55" s="38"/>
      <c r="D55" s="38"/>
      <c r="E55" s="38"/>
      <c r="F55" s="38"/>
      <c r="G55" s="38"/>
      <c r="H55" s="38"/>
      <c r="I55" s="38"/>
      <c r="J55" s="38"/>
      <c r="K55" s="38"/>
      <c r="L55" s="39" t="str">
        <f>N8</f>
        <v>广州</v>
      </c>
      <c r="M55" s="81">
        <f>M46/30/12</f>
        <v>10105.17182264551</v>
      </c>
      <c r="N55" s="81">
        <f>N46/30/12</f>
        <v>9573.9207596688284</v>
      </c>
      <c r="O55" s="81">
        <f>O46/30/12</f>
        <v>9812.941965010772</v>
      </c>
      <c r="P55" s="82"/>
    </row>
    <row r="56" spans="2:16" x14ac:dyDescent="0.25">
      <c r="B56" s="160"/>
      <c r="C56" s="38"/>
      <c r="D56" s="38"/>
      <c r="E56" s="38"/>
      <c r="F56" s="38"/>
      <c r="G56" s="38"/>
      <c r="H56" s="38"/>
      <c r="I56" s="38"/>
      <c r="J56" s="38"/>
      <c r="K56" s="38"/>
      <c r="L56" s="39" t="str">
        <f>N9</f>
        <v>佛山</v>
      </c>
      <c r="M56" s="81">
        <f>M47/30/12</f>
        <v>5282.2489072919707</v>
      </c>
      <c r="N56" s="81">
        <f>N47/30/12</f>
        <v>5004.5494880087072</v>
      </c>
      <c r="O56" s="83"/>
      <c r="P56" s="84">
        <f>P47/30/12</f>
        <v>4990.0190496572332</v>
      </c>
    </row>
    <row r="57" spans="2:16" ht="14.4" thickBot="1" x14ac:dyDescent="0.3">
      <c r="B57" s="161"/>
      <c r="C57" s="40"/>
      <c r="D57" s="40"/>
      <c r="E57" s="40"/>
      <c r="F57" s="40"/>
      <c r="G57" s="40"/>
      <c r="H57" s="40"/>
      <c r="I57" s="40"/>
      <c r="J57" s="40"/>
      <c r="K57" s="40"/>
      <c r="L57" s="41" t="str">
        <f>N10</f>
        <v>茂名</v>
      </c>
      <c r="M57" s="85">
        <f>M48/30/12</f>
        <v>3444.9449395382417</v>
      </c>
      <c r="N57" s="85">
        <f>N48/30/12</f>
        <v>3263.8366226143735</v>
      </c>
      <c r="O57" s="86"/>
      <c r="P57" s="87">
        <f>P48/30/12</f>
        <v>3152.7150819035046</v>
      </c>
    </row>
  </sheetData>
  <sheetProtection sheet="1" objects="1" scenarios="1" formatCells="0" formatColumns="0" formatRows="0" pivotTables="0"/>
  <protectedRanges>
    <protectedRange sqref="O4:P5 O7:P10 N8:N13 P11:P13 N14 M37:P45" name="数据输入区"/>
  </protectedRanges>
  <mergeCells count="45">
    <mergeCell ref="B55:B57"/>
    <mergeCell ref="N14:P14"/>
    <mergeCell ref="N15:P15"/>
    <mergeCell ref="N16:P16"/>
    <mergeCell ref="N17:P17"/>
    <mergeCell ref="L14:L17"/>
    <mergeCell ref="B4:B17"/>
    <mergeCell ref="M39:P39"/>
    <mergeCell ref="M40:P40"/>
    <mergeCell ref="M41:P41"/>
    <mergeCell ref="M42:P42"/>
    <mergeCell ref="M43:P43"/>
    <mergeCell ref="B52:B54"/>
    <mergeCell ref="B49:B51"/>
    <mergeCell ref="B37:B39"/>
    <mergeCell ref="B40:B42"/>
    <mergeCell ref="N3:P3"/>
    <mergeCell ref="B34:B36"/>
    <mergeCell ref="M34:P34"/>
    <mergeCell ref="M35:P35"/>
    <mergeCell ref="M36:P36"/>
    <mergeCell ref="L11:L13"/>
    <mergeCell ref="B25:B27"/>
    <mergeCell ref="O7:P7"/>
    <mergeCell ref="L7:N7"/>
    <mergeCell ref="L8:L10"/>
    <mergeCell ref="O8:P8"/>
    <mergeCell ref="O9:P9"/>
    <mergeCell ref="O10:P10"/>
    <mergeCell ref="B46:B48"/>
    <mergeCell ref="B2:P2"/>
    <mergeCell ref="B22:B24"/>
    <mergeCell ref="B28:B30"/>
    <mergeCell ref="B31:B33"/>
    <mergeCell ref="B19:B21"/>
    <mergeCell ref="O4:P4"/>
    <mergeCell ref="O5:P5"/>
    <mergeCell ref="L4:M6"/>
    <mergeCell ref="O6:P6"/>
    <mergeCell ref="B3:M3"/>
    <mergeCell ref="B43:B45"/>
    <mergeCell ref="M37:P37"/>
    <mergeCell ref="M38:P38"/>
    <mergeCell ref="M44:P44"/>
    <mergeCell ref="M45:P45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life-lock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贷款买房真实价格计算器</dc:title>
  <dc:creator>Youtudou</dc:creator>
  <cp:lastModifiedBy>Administrator</cp:lastModifiedBy>
  <dcterms:created xsi:type="dcterms:W3CDTF">2015-06-05T18:19:34Z</dcterms:created>
  <dcterms:modified xsi:type="dcterms:W3CDTF">2026-01-15T07:05:44Z</dcterms:modified>
</cp:coreProperties>
</file>